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ZBA 2023\Bridle Crossing\"/>
    </mc:Choice>
  </mc:AlternateContent>
  <xr:revisionPtr revIDLastSave="0" documentId="8_{1DCDF5F8-C77B-4BBD-9DE4-054BBCCFD993}" xr6:coauthVersionLast="47" xr6:coauthVersionMax="47" xr10:uidLastSave="{00000000-0000-0000-0000-000000000000}"/>
  <bookViews>
    <workbookView xWindow="-120" yWindow="-120" windowWidth="29040" windowHeight="15840" tabRatio="706" xr2:uid="{00000000-000D-0000-FFFF-FFFF00000000}"/>
  </bookViews>
  <sheets>
    <sheet name="Proposed" sheetId="23" r:id="rId1"/>
  </sheets>
  <definedNames>
    <definedName name="_xlnm.Print_Area" localSheetId="0">Proposed!$A$1:$D$84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3" l="1"/>
  <c r="C74" i="23"/>
  <c r="C45" i="23" l="1"/>
  <c r="C33" i="23"/>
  <c r="C64" i="23" l="1"/>
  <c r="C76" i="23" s="1"/>
  <c r="C43" i="23"/>
  <c r="C37" i="23"/>
  <c r="C63" i="23" s="1"/>
  <c r="C31" i="23"/>
  <c r="C66" i="23" l="1"/>
  <c r="C75" i="23"/>
  <c r="C49" i="23"/>
  <c r="C69" i="23"/>
  <c r="C70" i="23"/>
  <c r="C77" i="23" l="1"/>
  <c r="C71" i="23"/>
  <c r="C82" i="23" s="1"/>
  <c r="C78" i="23"/>
  <c r="C55" i="23"/>
  <c r="C59" i="23" s="1"/>
  <c r="C79" i="23" l="1"/>
  <c r="C81" i="23" s="1"/>
  <c r="C83" i="23" s="1"/>
  <c r="E78" i="23"/>
  <c r="E77" i="23"/>
  <c r="E76" i="23"/>
  <c r="E74" i="23"/>
  <c r="E75" i="23"/>
</calcChain>
</file>

<file path=xl/sharedStrings.xml><?xml version="1.0" encoding="utf-8"?>
<sst xmlns="http://schemas.openxmlformats.org/spreadsheetml/2006/main" count="158" uniqueCount="90">
  <si>
    <t>Load from Rooftops lbs N per year Volume of Recharge from Roof Runoff x N Concentration in Roof Runoff (D1 x A2)</t>
  </si>
  <si>
    <t>F3</t>
  </si>
  <si>
    <t>F4</t>
  </si>
  <si>
    <t>Load from Turf lbs N per year Turf Application Rate x Area of Turf/1,000 x Leaching Rate (A4 x C4/1,000 x A5)</t>
  </si>
  <si>
    <t>F5</t>
  </si>
  <si>
    <t>Load from Natural Area lbs N per year Volume of Recharge from Natural Areas x N Concentration in Rainfall (C5 x A6)</t>
  </si>
  <si>
    <t>F6</t>
  </si>
  <si>
    <t>mg/yr</t>
  </si>
  <si>
    <t>Total N load</t>
  </si>
  <si>
    <t>N LOADING CONCENTRATION</t>
  </si>
  <si>
    <t>Roofs gallons per year Rooftop Area x Recharge Rates for Underlying Soil Types</t>
  </si>
  <si>
    <t>Roadways and Driveways gallons per year Roadways and Driveways Area for Underlying Soil Types</t>
  </si>
  <si>
    <t>Turf square feet Turf Area x Recharge Rates for Underlying Soil Types</t>
  </si>
  <si>
    <t>Natural Areas square feet Natural Area x Recharge Rates for Underlying Soil Types</t>
  </si>
  <si>
    <t>Total Recharge (+wastewater)</t>
  </si>
  <si>
    <t>PROJECT LOCATION</t>
  </si>
  <si>
    <t>DATE</t>
  </si>
  <si>
    <t>APPLICANT</t>
  </si>
  <si>
    <t>NAME OF DEVELOPMENT ON SITE PLAN</t>
  </si>
  <si>
    <t>LOADING ASSUMPTIONS</t>
  </si>
  <si>
    <t>A1</t>
  </si>
  <si>
    <t>Wastewater Effluent from a Standard On-Site System</t>
  </si>
  <si>
    <t xml:space="preserve"> mg/L</t>
  </si>
  <si>
    <t>Wastewater Effluent from a DEP Approved Denitrification System</t>
  </si>
  <si>
    <t>Wastewater Effluent from a Centralized Wastewater Treatment Facility</t>
  </si>
  <si>
    <t>A2</t>
  </si>
  <si>
    <t>Runoff from Rooftops</t>
  </si>
  <si>
    <t xml:space="preserve">A3 </t>
  </si>
  <si>
    <t>Runoff from Roadways and Driveways</t>
  </si>
  <si>
    <t>A4</t>
  </si>
  <si>
    <t xml:space="preserve">Turf Application </t>
  </si>
  <si>
    <t xml:space="preserve"> lbs/year/1,000 sq feet</t>
  </si>
  <si>
    <t>A5</t>
  </si>
  <si>
    <t>Nitrogen leaching rate from turf</t>
  </si>
  <si>
    <t>A6</t>
  </si>
  <si>
    <t>Rainfall (Runoff on natural surfaces)</t>
  </si>
  <si>
    <t>RECHARGE ASSUMPTIONS</t>
  </si>
  <si>
    <t>NRCS Soils Group</t>
  </si>
  <si>
    <t>Recharge Rates</t>
  </si>
  <si>
    <t>B1</t>
  </si>
  <si>
    <t>A Soils</t>
  </si>
  <si>
    <t>inches per year</t>
  </si>
  <si>
    <t>B Soils</t>
  </si>
  <si>
    <t>C Soils</t>
  </si>
  <si>
    <t>D Soils</t>
  </si>
  <si>
    <t>Wetlands and Surface Waters</t>
  </si>
  <si>
    <t>NITROGEN SOURCES</t>
  </si>
  <si>
    <t>Wastewater Flows</t>
  </si>
  <si>
    <t>C1</t>
  </si>
  <si>
    <t>Total Residential Wastewater Flow (Actual Title 5)</t>
  </si>
  <si>
    <t>Total Residential Wastewater Flow (Modified Title 5)</t>
  </si>
  <si>
    <t>Total Non-Residential Wastewater Flow (Title 5) gpd</t>
  </si>
  <si>
    <t>Total Non-Residential Wastewater Flow (Measured)</t>
  </si>
  <si>
    <t>Area of Roof</t>
  </si>
  <si>
    <t>C2</t>
  </si>
  <si>
    <t>square feet</t>
  </si>
  <si>
    <t>Area of Roads and Driveways</t>
  </si>
  <si>
    <t>C3</t>
  </si>
  <si>
    <t>Area of Turf</t>
  </si>
  <si>
    <t>C4</t>
  </si>
  <si>
    <t>C5</t>
  </si>
  <si>
    <t>Total Site Area</t>
  </si>
  <si>
    <t>C6</t>
  </si>
  <si>
    <t>RECHARGE VOLUMES FROM IMPERVIOUS SURFACES</t>
  </si>
  <si>
    <t>D1</t>
  </si>
  <si>
    <t>cubic feet/yr</t>
  </si>
  <si>
    <t>D2</t>
  </si>
  <si>
    <t>D3</t>
  </si>
  <si>
    <t>Alternative Calculation in Redevelopment Scenario gallons per year</t>
  </si>
  <si>
    <t>D4</t>
  </si>
  <si>
    <t>TOTAL</t>
  </si>
  <si>
    <t>liters/yr</t>
  </si>
  <si>
    <t>RECHARGE VOLUMES FROM PERVIOUS SURFACES</t>
  </si>
  <si>
    <t>E1</t>
  </si>
  <si>
    <t>E2</t>
  </si>
  <si>
    <t>E3</t>
  </si>
  <si>
    <t>LOADING CALCULATION</t>
  </si>
  <si>
    <t>F1</t>
  </si>
  <si>
    <t>Load from Wastewater lbs N per year Wastewater Flow x N Concentration in Wastewater (C1 x A1)</t>
  </si>
  <si>
    <t>lbs/yr</t>
  </si>
  <si>
    <t>F2</t>
  </si>
  <si>
    <t>mg/l</t>
  </si>
  <si>
    <t>gpd</t>
  </si>
  <si>
    <t>Natural Area</t>
  </si>
  <si>
    <t>Load from Roadways and Driveways lbs N per year Volume of Recharge from Roadways and Driveways x N and Driveways (D2 x A3) Concentration in and Driveways (D2 x A3)</t>
  </si>
  <si>
    <t>Water surface area</t>
  </si>
  <si>
    <t>REVISION DATE</t>
  </si>
  <si>
    <t>Bridle Crossing off Ferry Street</t>
  </si>
  <si>
    <t>Kevin Sealund</t>
  </si>
  <si>
    <t>Includes 220,349 sf of lot H12-01-09B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</si>
</sst>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.0%"/>
  </numFmts>
  <fonts count="5">
    <font>
      <sz val="12"/>
      <name val="Bookman"/>
    </font>
    <font>
      <sz val="11"/>
      <color theme="1"/>
      <name val="Calibri"/>
      <family val="2"/>
      <scheme val="minor"/>
    </font>
    <font>
      <sz val="10"/>
      <name val="Geneva"/>
    </font>
    <font>
      <sz val="12"/>
      <name val="Times New Roman"/>
      <family val="1"/>
    </font>
    <font>
      <sz val="12"/>
      <name val="Bookman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9" fontId="3" fillId="0" borderId="1" xfId="2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3" fillId="0" borderId="1" xfId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" fontId="3" fillId="3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vertical="center"/>
    </xf>
    <xf numFmtId="166" fontId="0" fillId="0" borderId="0" xfId="2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4" xr:uid="{00000000-0005-0000-0000-000003000000}"/>
    <cellStyle name="Normal 3" xfId="3" xr:uid="{00000000-0005-0000-0000-000004000000}"/>
    <cellStyle name="Percent" xfId="2" builtinId="5"/>
    <cellStyle name="Percent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3"/>
  <sheetViews>
    <sheetView tabSelected="1" view="pageBreakPreview" topLeftCell="A4" zoomScaleNormal="100" zoomScaleSheetLayoutView="100" workbookViewId="0">
      <selection activeCell="C74" sqref="C74"/>
    </sheetView>
  </sheetViews>
  <sheetFormatPr defaultColWidth="8.625" defaultRowHeight="15.75"/>
  <cols>
    <col min="1" max="1" width="10.625" style="3" customWidth="1"/>
    <col min="2" max="2" width="53.625" style="3" customWidth="1"/>
    <col min="3" max="3" width="14.5" style="3" bestFit="1" customWidth="1"/>
    <col min="4" max="4" width="18" style="3" bestFit="1" customWidth="1"/>
  </cols>
  <sheetData>
    <row r="1" spans="1:4">
      <c r="A1" s="29" t="s">
        <v>15</v>
      </c>
      <c r="B1" s="29"/>
      <c r="C1" s="26" t="s">
        <v>87</v>
      </c>
      <c r="D1" s="26"/>
    </row>
    <row r="2" spans="1:4">
      <c r="A2" s="29" t="s">
        <v>16</v>
      </c>
      <c r="B2" s="29"/>
      <c r="C2" s="30">
        <v>43782</v>
      </c>
      <c r="D2" s="30"/>
    </row>
    <row r="3" spans="1:4">
      <c r="A3" s="29" t="s">
        <v>86</v>
      </c>
      <c r="B3" s="29"/>
      <c r="C3" s="30"/>
      <c r="D3" s="30"/>
    </row>
    <row r="4" spans="1:4">
      <c r="A4" s="29" t="s">
        <v>17</v>
      </c>
      <c r="B4" s="29"/>
      <c r="C4" s="27" t="s">
        <v>88</v>
      </c>
      <c r="D4" s="28"/>
    </row>
    <row r="5" spans="1:4">
      <c r="A5" s="25" t="s">
        <v>18</v>
      </c>
      <c r="B5" s="25"/>
      <c r="C5" s="26"/>
      <c r="D5" s="26"/>
    </row>
    <row r="7" spans="1:4">
      <c r="A7" s="3" t="s">
        <v>19</v>
      </c>
    </row>
    <row r="8" spans="1:4">
      <c r="A8" s="26" t="s">
        <v>20</v>
      </c>
      <c r="B8" s="5" t="s">
        <v>21</v>
      </c>
      <c r="C8" s="4">
        <v>35</v>
      </c>
      <c r="D8" s="4" t="s">
        <v>22</v>
      </c>
    </row>
    <row r="9" spans="1:4">
      <c r="A9" s="26"/>
      <c r="B9" s="5" t="s">
        <v>23</v>
      </c>
      <c r="C9" s="4">
        <v>19</v>
      </c>
      <c r="D9" s="4" t="s">
        <v>22</v>
      </c>
    </row>
    <row r="10" spans="1:4" ht="31.5">
      <c r="A10" s="26"/>
      <c r="B10" s="5" t="s">
        <v>24</v>
      </c>
      <c r="C10" s="4">
        <v>10</v>
      </c>
      <c r="D10" s="4" t="s">
        <v>22</v>
      </c>
    </row>
    <row r="11" spans="1:4">
      <c r="A11" s="21" t="s">
        <v>25</v>
      </c>
      <c r="B11" s="4" t="s">
        <v>26</v>
      </c>
      <c r="C11" s="4">
        <v>0.75</v>
      </c>
      <c r="D11" s="4" t="s">
        <v>22</v>
      </c>
    </row>
    <row r="12" spans="1:4">
      <c r="A12" s="21" t="s">
        <v>27</v>
      </c>
      <c r="B12" s="4" t="s">
        <v>28</v>
      </c>
      <c r="C12" s="4">
        <v>1.5</v>
      </c>
      <c r="D12" s="4" t="s">
        <v>22</v>
      </c>
    </row>
    <row r="13" spans="1:4">
      <c r="A13" s="21" t="s">
        <v>29</v>
      </c>
      <c r="B13" s="4" t="s">
        <v>30</v>
      </c>
      <c r="C13" s="4">
        <v>3</v>
      </c>
      <c r="D13" s="4" t="s">
        <v>31</v>
      </c>
    </row>
    <row r="14" spans="1:4">
      <c r="A14" s="21" t="s">
        <v>32</v>
      </c>
      <c r="B14" s="4" t="s">
        <v>33</v>
      </c>
      <c r="C14" s="6">
        <v>0.25</v>
      </c>
      <c r="D14" s="4"/>
    </row>
    <row r="15" spans="1:4">
      <c r="A15" s="21" t="s">
        <v>34</v>
      </c>
      <c r="B15" s="4" t="s">
        <v>35</v>
      </c>
      <c r="C15" s="4">
        <v>0.05</v>
      </c>
      <c r="D15" s="4" t="s">
        <v>22</v>
      </c>
    </row>
    <row r="16" spans="1:4">
      <c r="A16" s="1"/>
    </row>
    <row r="17" spans="1:4">
      <c r="A17" s="2" t="s">
        <v>36</v>
      </c>
    </row>
    <row r="18" spans="1:4">
      <c r="A18" s="4"/>
      <c r="B18" s="4" t="s">
        <v>37</v>
      </c>
      <c r="C18" s="27" t="s">
        <v>38</v>
      </c>
      <c r="D18" s="28"/>
    </row>
    <row r="19" spans="1:4">
      <c r="A19" s="26" t="s">
        <v>39</v>
      </c>
      <c r="B19" s="4" t="s">
        <v>40</v>
      </c>
      <c r="C19" s="4">
        <v>24</v>
      </c>
      <c r="D19" s="4" t="s">
        <v>41</v>
      </c>
    </row>
    <row r="20" spans="1:4">
      <c r="A20" s="26"/>
      <c r="B20" s="4" t="s">
        <v>42</v>
      </c>
      <c r="C20" s="4">
        <v>18</v>
      </c>
      <c r="D20" s="4" t="s">
        <v>41</v>
      </c>
    </row>
    <row r="21" spans="1:4">
      <c r="A21" s="26"/>
      <c r="B21" s="4" t="s">
        <v>43</v>
      </c>
      <c r="C21" s="4">
        <v>10</v>
      </c>
      <c r="D21" s="4" t="s">
        <v>41</v>
      </c>
    </row>
    <row r="22" spans="1:4">
      <c r="A22" s="26"/>
      <c r="B22" s="4" t="s">
        <v>44</v>
      </c>
      <c r="C22" s="4">
        <v>3</v>
      </c>
      <c r="D22" s="4" t="s">
        <v>41</v>
      </c>
    </row>
    <row r="23" spans="1:4">
      <c r="A23" s="26"/>
      <c r="B23" s="4" t="s">
        <v>45</v>
      </c>
      <c r="C23" s="4">
        <v>0</v>
      </c>
      <c r="D23" s="4" t="s">
        <v>41</v>
      </c>
    </row>
    <row r="25" spans="1:4">
      <c r="A25" s="3" t="s">
        <v>46</v>
      </c>
    </row>
    <row r="26" spans="1:4">
      <c r="A26" s="3" t="s">
        <v>47</v>
      </c>
    </row>
    <row r="27" spans="1:4">
      <c r="A27" s="26" t="s">
        <v>48</v>
      </c>
      <c r="B27" s="5" t="s">
        <v>49</v>
      </c>
      <c r="C27" s="7">
        <v>9680</v>
      </c>
      <c r="D27" s="4" t="s">
        <v>82</v>
      </c>
    </row>
    <row r="28" spans="1:4">
      <c r="A28" s="26"/>
      <c r="B28" s="5" t="s">
        <v>50</v>
      </c>
      <c r="C28" s="7">
        <v>0</v>
      </c>
      <c r="D28" s="4" t="s">
        <v>82</v>
      </c>
    </row>
    <row r="29" spans="1:4">
      <c r="A29" s="26"/>
      <c r="B29" s="5" t="s">
        <v>51</v>
      </c>
      <c r="C29" s="7">
        <v>20</v>
      </c>
      <c r="D29" s="4" t="s">
        <v>82</v>
      </c>
    </row>
    <row r="30" spans="1:4">
      <c r="A30" s="26"/>
      <c r="B30" s="5" t="s">
        <v>52</v>
      </c>
      <c r="C30" s="7"/>
      <c r="D30" s="4" t="s">
        <v>82</v>
      </c>
    </row>
    <row r="31" spans="1:4">
      <c r="A31" s="1"/>
      <c r="B31" s="15" t="s">
        <v>70</v>
      </c>
      <c r="C31" s="16">
        <f>SUM(C27:C30)</f>
        <v>9700</v>
      </c>
      <c r="D31" s="17" t="s">
        <v>82</v>
      </c>
    </row>
    <row r="32" spans="1:4">
      <c r="A32" s="3" t="s">
        <v>53</v>
      </c>
      <c r="C32" s="8"/>
    </row>
    <row r="33" spans="1:4">
      <c r="A33" s="26" t="s">
        <v>54</v>
      </c>
      <c r="B33" s="4" t="s">
        <v>40</v>
      </c>
      <c r="C33" s="7">
        <f>4320*8+1248</f>
        <v>35808</v>
      </c>
      <c r="D33" s="4" t="s">
        <v>55</v>
      </c>
    </row>
    <row r="34" spans="1:4">
      <c r="A34" s="26"/>
      <c r="B34" s="4" t="s">
        <v>42</v>
      </c>
      <c r="C34" s="7"/>
      <c r="D34" s="4" t="s">
        <v>55</v>
      </c>
    </row>
    <row r="35" spans="1:4">
      <c r="A35" s="26"/>
      <c r="B35" s="4" t="s">
        <v>43</v>
      </c>
      <c r="C35" s="7"/>
      <c r="D35" s="4" t="s">
        <v>55</v>
      </c>
    </row>
    <row r="36" spans="1:4">
      <c r="A36" s="26"/>
      <c r="B36" s="4" t="s">
        <v>44</v>
      </c>
      <c r="C36" s="7"/>
      <c r="D36" s="4" t="s">
        <v>55</v>
      </c>
    </row>
    <row r="37" spans="1:4">
      <c r="A37" s="1"/>
      <c r="B37" s="15" t="s">
        <v>70</v>
      </c>
      <c r="C37" s="16">
        <f>SUM(C33:C36)</f>
        <v>35808</v>
      </c>
      <c r="D37" s="17" t="s">
        <v>55</v>
      </c>
    </row>
    <row r="38" spans="1:4">
      <c r="A38" s="3" t="s">
        <v>56</v>
      </c>
      <c r="C38" s="8"/>
    </row>
    <row r="39" spans="1:4">
      <c r="A39" s="26" t="s">
        <v>57</v>
      </c>
      <c r="B39" s="4" t="s">
        <v>40</v>
      </c>
      <c r="C39" s="7">
        <v>83556</v>
      </c>
      <c r="D39" s="4" t="s">
        <v>55</v>
      </c>
    </row>
    <row r="40" spans="1:4">
      <c r="A40" s="26"/>
      <c r="B40" s="4" t="s">
        <v>42</v>
      </c>
      <c r="C40" s="7"/>
      <c r="D40" s="4" t="s">
        <v>55</v>
      </c>
    </row>
    <row r="41" spans="1:4">
      <c r="A41" s="26"/>
      <c r="B41" s="4" t="s">
        <v>43</v>
      </c>
      <c r="C41" s="7"/>
      <c r="D41" s="4" t="s">
        <v>55</v>
      </c>
    </row>
    <row r="42" spans="1:4">
      <c r="A42" s="26"/>
      <c r="B42" s="4" t="s">
        <v>44</v>
      </c>
      <c r="C42" s="7"/>
      <c r="D42" s="4" t="s">
        <v>55</v>
      </c>
    </row>
    <row r="43" spans="1:4">
      <c r="A43" s="1"/>
      <c r="B43" s="15" t="s">
        <v>70</v>
      </c>
      <c r="C43" s="16">
        <f>SUM(C39:C42)</f>
        <v>83556</v>
      </c>
      <c r="D43" s="17" t="s">
        <v>55</v>
      </c>
    </row>
    <row r="44" spans="1:4">
      <c r="A44" s="3" t="s">
        <v>58</v>
      </c>
      <c r="C44" s="8"/>
    </row>
    <row r="45" spans="1:4">
      <c r="A45" s="26" t="s">
        <v>59</v>
      </c>
      <c r="B45" s="4" t="s">
        <v>40</v>
      </c>
      <c r="C45" s="7">
        <f>108820+5911</f>
        <v>114731</v>
      </c>
      <c r="D45" s="4" t="s">
        <v>55</v>
      </c>
    </row>
    <row r="46" spans="1:4">
      <c r="A46" s="26"/>
      <c r="B46" s="4" t="s">
        <v>42</v>
      </c>
      <c r="C46" s="7"/>
      <c r="D46" s="4" t="s">
        <v>55</v>
      </c>
    </row>
    <row r="47" spans="1:4">
      <c r="A47" s="26"/>
      <c r="B47" s="4" t="s">
        <v>43</v>
      </c>
      <c r="C47" s="7"/>
      <c r="D47" s="4" t="s">
        <v>55</v>
      </c>
    </row>
    <row r="48" spans="1:4">
      <c r="A48" s="26"/>
      <c r="B48" s="4" t="s">
        <v>44</v>
      </c>
      <c r="C48" s="7"/>
      <c r="D48" s="4" t="s">
        <v>55</v>
      </c>
    </row>
    <row r="49" spans="1:5">
      <c r="A49" s="1"/>
      <c r="B49" s="15" t="s">
        <v>70</v>
      </c>
      <c r="C49" s="16">
        <f>SUM(C45:C48)</f>
        <v>114731</v>
      </c>
      <c r="D49" s="17" t="s">
        <v>55</v>
      </c>
    </row>
    <row r="50" spans="1:5">
      <c r="A50" s="3" t="s">
        <v>83</v>
      </c>
      <c r="C50" s="8"/>
    </row>
    <row r="51" spans="1:5">
      <c r="A51" s="26" t="s">
        <v>60</v>
      </c>
      <c r="B51" s="4" t="s">
        <v>40</v>
      </c>
      <c r="C51" s="7">
        <f>201505+220349</f>
        <v>421854</v>
      </c>
      <c r="D51" s="4" t="s">
        <v>55</v>
      </c>
      <c r="E51" t="s">
        <v>89</v>
      </c>
    </row>
    <row r="52" spans="1:5">
      <c r="A52" s="26"/>
      <c r="B52" s="4" t="s">
        <v>42</v>
      </c>
      <c r="C52" s="7"/>
      <c r="D52" s="4" t="s">
        <v>55</v>
      </c>
    </row>
    <row r="53" spans="1:5">
      <c r="A53" s="26"/>
      <c r="B53" s="4" t="s">
        <v>43</v>
      </c>
      <c r="C53" s="7"/>
      <c r="D53" s="4" t="s">
        <v>55</v>
      </c>
    </row>
    <row r="54" spans="1:5">
      <c r="A54" s="26"/>
      <c r="B54" s="4" t="s">
        <v>44</v>
      </c>
      <c r="C54" s="7"/>
      <c r="D54" s="4" t="s">
        <v>55</v>
      </c>
    </row>
    <row r="55" spans="1:5">
      <c r="A55" s="1"/>
      <c r="B55" s="15" t="s">
        <v>70</v>
      </c>
      <c r="C55" s="16">
        <f>SUM(C51:C54)</f>
        <v>421854</v>
      </c>
      <c r="D55" s="17" t="s">
        <v>55</v>
      </c>
    </row>
    <row r="56" spans="1:5">
      <c r="A56" s="1"/>
      <c r="B56" s="22"/>
      <c r="C56" s="23"/>
    </row>
    <row r="57" spans="1:5">
      <c r="A57" s="1"/>
      <c r="B57" s="15" t="s">
        <v>85</v>
      </c>
      <c r="C57" s="16"/>
      <c r="D57" s="17" t="s">
        <v>55</v>
      </c>
    </row>
    <row r="58" spans="1:5">
      <c r="A58" s="3" t="s">
        <v>61</v>
      </c>
      <c r="C58" s="8"/>
    </row>
    <row r="59" spans="1:5">
      <c r="A59" s="18" t="s">
        <v>62</v>
      </c>
      <c r="B59" s="17"/>
      <c r="C59" s="16">
        <f>SUM(C55,C49,C43,C37,C57)</f>
        <v>655949</v>
      </c>
      <c r="D59" s="17" t="s">
        <v>55</v>
      </c>
    </row>
    <row r="62" spans="1:5">
      <c r="A62" s="3" t="s">
        <v>63</v>
      </c>
    </row>
    <row r="63" spans="1:5" ht="31.5">
      <c r="A63" s="4" t="s">
        <v>64</v>
      </c>
      <c r="B63" s="5" t="s">
        <v>10</v>
      </c>
      <c r="C63" s="7">
        <f>C37*(C19/12)</f>
        <v>71616</v>
      </c>
      <c r="D63" s="4" t="s">
        <v>65</v>
      </c>
    </row>
    <row r="64" spans="1:5" ht="31.5">
      <c r="A64" s="4" t="s">
        <v>66</v>
      </c>
      <c r="B64" s="5" t="s">
        <v>11</v>
      </c>
      <c r="C64" s="10">
        <f>C39*(C19/12)</f>
        <v>167112</v>
      </c>
      <c r="D64" s="4" t="s">
        <v>65</v>
      </c>
    </row>
    <row r="65" spans="1:5">
      <c r="A65" s="4" t="s">
        <v>67</v>
      </c>
      <c r="B65" s="5" t="s">
        <v>68</v>
      </c>
      <c r="C65" s="10"/>
      <c r="D65" s="4" t="s">
        <v>65</v>
      </c>
    </row>
    <row r="66" spans="1:5">
      <c r="A66" s="4" t="s">
        <v>69</v>
      </c>
      <c r="B66" s="11" t="s">
        <v>70</v>
      </c>
      <c r="C66" s="10">
        <f>SUM(C63:C65)</f>
        <v>238728</v>
      </c>
      <c r="D66" s="4" t="s">
        <v>65</v>
      </c>
    </row>
    <row r="67" spans="1:5">
      <c r="C67" s="9"/>
    </row>
    <row r="68" spans="1:5">
      <c r="A68" s="3" t="s">
        <v>72</v>
      </c>
      <c r="C68" s="9"/>
    </row>
    <row r="69" spans="1:5" ht="31.5">
      <c r="A69" s="4" t="s">
        <v>73</v>
      </c>
      <c r="B69" s="5" t="s">
        <v>12</v>
      </c>
      <c r="C69" s="10">
        <f>(C45*(C19/12))+(C46*(C20/12))+(C47*(C21/12))+(C48*(C22/12))</f>
        <v>229462</v>
      </c>
      <c r="D69" s="4" t="s">
        <v>65</v>
      </c>
    </row>
    <row r="70" spans="1:5" ht="31.5">
      <c r="A70" s="4" t="s">
        <v>74</v>
      </c>
      <c r="B70" s="5" t="s">
        <v>13</v>
      </c>
      <c r="C70" s="10">
        <f>(C51*(C19/12))+(C52*(C20/12))+(C53*(C21/12))+(C54*C22/12)</f>
        <v>843708</v>
      </c>
      <c r="D70" s="4" t="s">
        <v>65</v>
      </c>
    </row>
    <row r="71" spans="1:5">
      <c r="A71" s="4" t="s">
        <v>75</v>
      </c>
      <c r="B71" s="11" t="s">
        <v>70</v>
      </c>
      <c r="C71" s="10">
        <f>SUM(C69:C70)</f>
        <v>1073170</v>
      </c>
      <c r="D71" s="4" t="s">
        <v>65</v>
      </c>
    </row>
    <row r="73" spans="1:5">
      <c r="A73" s="3" t="s">
        <v>76</v>
      </c>
    </row>
    <row r="74" spans="1:5" ht="31.5">
      <c r="A74" s="4" t="s">
        <v>77</v>
      </c>
      <c r="B74" s="5" t="s">
        <v>78</v>
      </c>
      <c r="C74" s="12">
        <f>C31*C10*365*1*3.785/453592</f>
        <v>295.43714395315612</v>
      </c>
      <c r="D74" s="4" t="s">
        <v>79</v>
      </c>
      <c r="E74" s="24">
        <f>C74/$C$79</f>
        <v>0.73287514434899215</v>
      </c>
    </row>
    <row r="75" spans="1:5" ht="31.5">
      <c r="A75" s="4" t="s">
        <v>80</v>
      </c>
      <c r="B75" s="5" t="s">
        <v>0</v>
      </c>
      <c r="C75" s="12">
        <f>(C63*C11)*28.3168*2.20462*10^(-6)</f>
        <v>3.353121113582592</v>
      </c>
      <c r="D75" s="4" t="s">
        <v>79</v>
      </c>
      <c r="E75" s="24">
        <f t="shared" ref="E75:E78" si="0">C75/$C$79</f>
        <v>8.3179084635550717E-3</v>
      </c>
    </row>
    <row r="76" spans="1:5" ht="47.25">
      <c r="A76" s="4" t="s">
        <v>1</v>
      </c>
      <c r="B76" s="5" t="s">
        <v>84</v>
      </c>
      <c r="C76" s="13">
        <f>(C64*C12)*28.3168*2.20462*10^(-6)</f>
        <v>15.648647663455485</v>
      </c>
      <c r="D76" s="4" t="s">
        <v>79</v>
      </c>
      <c r="E76" s="24">
        <f t="shared" si="0"/>
        <v>3.8818764498481206E-2</v>
      </c>
    </row>
    <row r="77" spans="1:5" ht="31.5">
      <c r="A77" s="4" t="s">
        <v>2</v>
      </c>
      <c r="B77" s="5" t="s">
        <v>3</v>
      </c>
      <c r="C77" s="13">
        <f>C13*C14*C49/1000</f>
        <v>86.048249999999996</v>
      </c>
      <c r="D77" s="4" t="s">
        <v>79</v>
      </c>
      <c r="E77" s="24">
        <f t="shared" si="0"/>
        <v>0.21345529812502939</v>
      </c>
    </row>
    <row r="78" spans="1:5" ht="31.5">
      <c r="A78" s="4" t="s">
        <v>4</v>
      </c>
      <c r="B78" s="5" t="s">
        <v>5</v>
      </c>
      <c r="C78" s="12">
        <f>(C70*C15)*28.3168*2.20462*10^(-6)</f>
        <v>2.6335410229544061</v>
      </c>
      <c r="D78" s="4" t="s">
        <v>79</v>
      </c>
      <c r="E78" s="24">
        <f t="shared" si="0"/>
        <v>6.5328845639420633E-3</v>
      </c>
    </row>
    <row r="79" spans="1:5" s="3" customFormat="1">
      <c r="A79" s="4" t="s">
        <v>6</v>
      </c>
      <c r="B79" s="11" t="s">
        <v>70</v>
      </c>
      <c r="C79" s="13">
        <f>SUM(C74:C78)</f>
        <v>403.12070375314863</v>
      </c>
      <c r="D79" s="4" t="s">
        <v>79</v>
      </c>
    </row>
    <row r="81" spans="1:4">
      <c r="A81" s="4" t="s">
        <v>8</v>
      </c>
      <c r="B81" s="4"/>
      <c r="C81" s="14">
        <f>C79*453592</f>
        <v>182852326.25679821</v>
      </c>
      <c r="D81" s="4" t="s">
        <v>7</v>
      </c>
    </row>
    <row r="82" spans="1:4">
      <c r="A82" s="4" t="s">
        <v>14</v>
      </c>
      <c r="B82" s="4"/>
      <c r="C82" s="14">
        <f>SUM(C71,C66)*28.3168+C27*1381.5</f>
        <v>50521673.286399998</v>
      </c>
      <c r="D82" s="4" t="s">
        <v>71</v>
      </c>
    </row>
    <row r="83" spans="1:4">
      <c r="B83" s="19" t="s">
        <v>9</v>
      </c>
      <c r="C83" s="20">
        <f>C81/C82</f>
        <v>3.6192848407897147</v>
      </c>
      <c r="D83" s="19" t="s">
        <v>81</v>
      </c>
    </row>
  </sheetData>
  <mergeCells count="18">
    <mergeCell ref="A33:A36"/>
    <mergeCell ref="A39:A42"/>
    <mergeCell ref="A45:A48"/>
    <mergeCell ref="A51:A54"/>
    <mergeCell ref="A27:A30"/>
    <mergeCell ref="A1:B1"/>
    <mergeCell ref="C1:D1"/>
    <mergeCell ref="A2:B2"/>
    <mergeCell ref="C2:D2"/>
    <mergeCell ref="A4:B4"/>
    <mergeCell ref="C4:D4"/>
    <mergeCell ref="A3:B3"/>
    <mergeCell ref="C3:D3"/>
    <mergeCell ref="A5:B5"/>
    <mergeCell ref="C5:D5"/>
    <mergeCell ref="A8:A10"/>
    <mergeCell ref="C18:D18"/>
    <mergeCell ref="A19:A23"/>
  </mergeCells>
  <printOptions horizontalCentered="1"/>
  <pageMargins left="0.7" right="0.7" top="0.75" bottom="0.75" header="0.3" footer="0.3"/>
  <pageSetup scale="65" orientation="portrait" r:id="rId1"/>
  <headerFooter alignWithMargins="0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</vt:lpstr>
      <vt:lpstr>Proposed!Print_Area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Eichner</dc:creator>
  <cp:lastModifiedBy>Porreca, Nanci</cp:lastModifiedBy>
  <cp:lastPrinted>2022-12-21T17:42:29Z</cp:lastPrinted>
  <dcterms:created xsi:type="dcterms:W3CDTF">1998-09-11T05:44:55Z</dcterms:created>
  <dcterms:modified xsi:type="dcterms:W3CDTF">2024-01-03T17:04:50Z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completed">
    <vt:filetime>2006-09-06T04:00:00Z</vt:filetime>
  </property>
</Properties>
</file>